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Development\Sage CRE\SQL Estimating Exports\AECentric\Exports\MICROSOFT\"/>
    </mc:Choice>
  </mc:AlternateContent>
  <xr:revisionPtr revIDLastSave="0" documentId="8_{6C2DECC1-719F-4B57-8D6E-26C70C2A24FC}" xr6:coauthVersionLast="47" xr6:coauthVersionMax="47" xr10:uidLastSave="{00000000-0000-0000-0000-000000000000}"/>
  <bookViews>
    <workbookView xWindow="23880" yWindow="-120" windowWidth="29040" windowHeight="15840" firstSheet="1" activeTab="4" xr2:uid="{1C84B4EF-9CAD-4DDB-B9A8-4BDBA993F31E}"/>
  </bookViews>
  <sheets>
    <sheet name="Connectivity Audit" sheetId="3" state="hidden" r:id="rId1"/>
    <sheet name="Item Exception Audit" sheetId="4" r:id="rId2"/>
    <sheet name="Category Amount Reconciliation" sheetId="7" r:id="rId3"/>
    <sheet name="Addon Validation" sheetId="5" state="hidden" r:id="rId4"/>
    <sheet name="Resource Cost Audit - Labor" sheetId="6" r:id="rId5"/>
  </sheets>
  <definedNames>
    <definedName name="_xlnm._FilterDatabase" localSheetId="3" hidden="1">'Addon Validation'!$A$2:$F$2</definedName>
    <definedName name="_xlnm._FilterDatabase" localSheetId="1" hidden="1">'Item Exception Audit'!$A$2:$M$2</definedName>
    <definedName name="CurrentEstimateBranch">'Connectivity Audit'!$B$7</definedName>
    <definedName name="CurrentEstimateCatalogName">'Connectivity Audit'!$B$3</definedName>
    <definedName name="CurrentEstimateId">'Connectivity Audit'!$B$4</definedName>
    <definedName name="CurrentEstimateName">'Connectivity Audit'!$B$6</definedName>
    <definedName name="CurrentEstimateUser">'Connectivity Audit'!$B$8</definedName>
    <definedName name="CurrentSqlInstanceName">'Connectivity Audit'!$B$2</definedName>
    <definedName name="_xlnm.Print_Area" localSheetId="3">'Addon Validation'!$A:$F</definedName>
    <definedName name="_xlnm.Print_Area" localSheetId="2">'Category Amount Reconciliation'!$A:$C</definedName>
    <definedName name="_xlnm.Print_Area" localSheetId="0">'Connectivity Audit'!$A:$D</definedName>
    <definedName name="_xlnm.Print_Area" localSheetId="1">'Item Exception Audit'!$A:$M</definedName>
    <definedName name="_xlnm.Print_Area" localSheetId="4">'Resource Cost Audit - Labor'!$A:$J</definedName>
    <definedName name="_xlnm.Print_Titles" localSheetId="3">'Addon Validation'!$1:$3</definedName>
    <definedName name="_xlnm.Print_Titles" localSheetId="2">'Category Amount Reconciliation'!$1:$2</definedName>
    <definedName name="_xlnm.Print_Titles" localSheetId="1">'Item Exception Audit'!$1:$2</definedName>
    <definedName name="_xlnm.Print_Titles" localSheetId="4">'Resource Cost Audit - Labor'!$1:$1</definedName>
    <definedName name="TotEqpAmountCrewDiscrepancy">'Item Exception Audit'!$J$7</definedName>
    <definedName name="TotEqpAmountWithoutCrew">'Item Exception Audit'!$K$7</definedName>
    <definedName name="TotEqpManHoursCrewsWithoutResources">'Item Exception Audit'!$M$7</definedName>
    <definedName name="TotEqpManHoursWithoutCrew">'Item Exception Audit'!$L$7</definedName>
    <definedName name="TotLabAmountCrewDiscrepancy">'Item Exception Audit'!$F$7</definedName>
    <definedName name="TotLabAmountWithoutCrew">'Item Exception Audit'!$G$7</definedName>
    <definedName name="TotLabManHoursCrewsWithoutResources">'Item Exception Audit'!$I$7</definedName>
    <definedName name="TotLabManHoursWithoutCrew">'Item Exception Audit'!$H$7</definedName>
    <definedName name="TotResourceAmount" localSheetId="4">'Resource Cost Audit - Labor'!$D$22</definedName>
    <definedName name="TotResourceHours" localSheetId="4">'Resource Cost Audit - Labor'!$C$22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7" l="1"/>
  <c r="C9" i="7"/>
  <c r="B8" i="7"/>
  <c r="C8" i="7"/>
  <c r="C7" i="7"/>
  <c r="B7" i="7"/>
  <c r="B6" i="7"/>
  <c r="C6" i="7"/>
  <c r="C5" i="7"/>
  <c r="C4" i="7"/>
  <c r="B4" i="7"/>
  <c r="F7" i="4"/>
  <c r="G7" i="4"/>
  <c r="H7" i="4"/>
  <c r="I7" i="4"/>
  <c r="J7" i="4"/>
  <c r="K7" i="4"/>
  <c r="L7" i="4"/>
  <c r="M7" i="4"/>
  <c r="G22" i="6"/>
  <c r="J22" i="6"/>
  <c r="I22" i="6"/>
  <c r="F22" i="6"/>
  <c r="H22" i="6"/>
  <c r="E22" i="6"/>
  <c r="D22" i="6"/>
  <c r="C22" i="6"/>
  <c r="D2" i="6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F12" i="5"/>
  <c r="E12" i="5"/>
  <c r="F11" i="5"/>
  <c r="E11" i="5"/>
  <c r="F10" i="5"/>
  <c r="F9" i="5"/>
  <c r="E9" i="5"/>
  <c r="F8" i="5"/>
  <c r="F7" i="5"/>
  <c r="E7" i="5"/>
  <c r="F6" i="5"/>
  <c r="E6" i="5"/>
  <c r="F5" i="5"/>
  <c r="E5" i="5"/>
  <c r="F4" i="5"/>
  <c r="E4" i="5"/>
  <c r="F3" i="5"/>
  <c r="E3" i="5"/>
</calcChain>
</file>

<file path=xl/sharedStrings.xml><?xml version="1.0" encoding="utf-8"?>
<sst xmlns="http://schemas.openxmlformats.org/spreadsheetml/2006/main" count="119" uniqueCount="106">
  <si>
    <t>Current Estimate Catalog Name</t>
  </si>
  <si>
    <t>Current Estimate ID</t>
  </si>
  <si>
    <t>Current Estimate Name</t>
  </si>
  <si>
    <t>Current Estimate User</t>
  </si>
  <si>
    <t>Current SQL Instance Name</t>
  </si>
  <si>
    <t>Current Estimate Branch</t>
  </si>
  <si>
    <t>ID</t>
  </si>
  <si>
    <t>Name</t>
  </si>
  <si>
    <t>Branch</t>
  </si>
  <si>
    <t>Other Open Estimates by User</t>
  </si>
  <si>
    <t>Description</t>
  </si>
  <si>
    <t>Labor</t>
  </si>
  <si>
    <t>Equipment</t>
  </si>
  <si>
    <t>Sequence</t>
  </si>
  <si>
    <t>Phase Code</t>
  </si>
  <si>
    <t>Item Code</t>
  </si>
  <si>
    <t>Amount without
Crew Assignment
or Resources</t>
  </si>
  <si>
    <t>Crew</t>
  </si>
  <si>
    <r>
      <t xml:space="preserve">The item(s) listed show dollar amount and/or man hour values for the reason(s) indicated.
Refer to the </t>
    </r>
    <r>
      <rPr>
        <u/>
        <sz val="9"/>
        <color theme="1"/>
        <rFont val="Calibri"/>
        <family val="2"/>
        <scheme val="minor"/>
      </rPr>
      <t>Sequence</t>
    </r>
    <r>
      <rPr>
        <sz val="9"/>
        <color theme="1"/>
        <rFont val="Calibri"/>
        <family val="2"/>
        <scheme val="minor"/>
      </rPr>
      <t xml:space="preserve"> value to cross-reference against items in the source estimate on the
</t>
    </r>
    <r>
      <rPr>
        <b/>
        <u/>
        <sz val="9"/>
        <color theme="1"/>
        <rFont val="Calibri"/>
        <family val="2"/>
        <scheme val="minor"/>
      </rPr>
      <t>Takeoff Order</t>
    </r>
    <r>
      <rPr>
        <sz val="9"/>
        <color theme="1"/>
        <rFont val="Calibri"/>
        <family val="2"/>
        <scheme val="minor"/>
      </rPr>
      <t xml:space="preserve"> tab and take further action as necessary before running the export again.</t>
    </r>
  </si>
  <si>
    <t>Man Hours without Crew Assignments</t>
  </si>
  <si>
    <t>Discrepancy between Category vs. Crew Amounts</t>
  </si>
  <si>
    <t>Man Hours without Crew Resources</t>
  </si>
  <si>
    <t>DESKTOP-BAV06SS\SAGE_ESTIMATING</t>
  </si>
  <si>
    <t>Estimates_ExportTesting</t>
  </si>
  <si>
    <t>Sample Estimate - Warehouse Project</t>
  </si>
  <si>
    <t>DESKTOP-BAV06SS\MICROSOFT</t>
  </si>
  <si>
    <t>None</t>
  </si>
  <si>
    <t>Position</t>
  </si>
  <si>
    <t>Current Dollar Amounts</t>
  </si>
  <si>
    <t>Calculated within Export Routine</t>
  </si>
  <si>
    <t>Stored in Sage Estimating</t>
  </si>
  <si>
    <t>Current Difference</t>
  </si>
  <si>
    <t>Amount</t>
  </si>
  <si>
    <t>%</t>
  </si>
  <si>
    <t>Material</t>
  </si>
  <si>
    <t>Subcontract</t>
  </si>
  <si>
    <t>Other</t>
  </si>
  <si>
    <t>Trade Cost Subtotal</t>
  </si>
  <si>
    <t>General Conditions</t>
  </si>
  <si>
    <t>Construction Cost Subtotal</t>
  </si>
  <si>
    <t>Fee</t>
  </si>
  <si>
    <t>Insurance</t>
  </si>
  <si>
    <t>Resource ID</t>
  </si>
  <si>
    <t>Resource Description</t>
  </si>
  <si>
    <t>Hours</t>
  </si>
  <si>
    <t>Total Amount</t>
  </si>
  <si>
    <t>Base Amount</t>
  </si>
  <si>
    <t>Trade Fixed OH</t>
  </si>
  <si>
    <t>Trade Fringes</t>
  </si>
  <si>
    <t>Trade Overhead</t>
  </si>
  <si>
    <t>Trade Profit</t>
  </si>
  <si>
    <t>WC Insurance</t>
  </si>
  <si>
    <t>L-Acli</t>
  </si>
  <si>
    <t>Acoustical Ceiling Installer</t>
  </si>
  <si>
    <t>L-Asbw</t>
  </si>
  <si>
    <t>Asbestos Worker/Insulator/Fireproofer</t>
  </si>
  <si>
    <t>L-Cmtm</t>
  </si>
  <si>
    <t>Cement Mason</t>
  </si>
  <si>
    <t>L-Crpn</t>
  </si>
  <si>
    <t>Carpenter</t>
  </si>
  <si>
    <t>L-Drwf</t>
  </si>
  <si>
    <t>Drywall Finisher</t>
  </si>
  <si>
    <t>L-Drwh</t>
  </si>
  <si>
    <t>Drywall Hanger</t>
  </si>
  <si>
    <t>L-Elct</t>
  </si>
  <si>
    <t>Electrician</t>
  </si>
  <si>
    <t>L-Iwor</t>
  </si>
  <si>
    <t>Iron Worker, Ornamental</t>
  </si>
  <si>
    <t>L-Iwrf</t>
  </si>
  <si>
    <t>Iron Worker, Reinforcing</t>
  </si>
  <si>
    <t>L-Iwst</t>
  </si>
  <si>
    <t>Iron Worker, Structural</t>
  </si>
  <si>
    <t>L-Lbrc</t>
  </si>
  <si>
    <t>Laborer, Common Building</t>
  </si>
  <si>
    <t>L-Lthr</t>
  </si>
  <si>
    <t>Lather</t>
  </si>
  <si>
    <t>L-Oecr</t>
  </si>
  <si>
    <t>Operating Engineer, Crane</t>
  </si>
  <si>
    <t>L-Pipf</t>
  </si>
  <si>
    <t>Pipefitter/Steamfitter</t>
  </si>
  <si>
    <t>L-Plmb</t>
  </si>
  <si>
    <t>Plumber</t>
  </si>
  <si>
    <t>L-Pnsp</t>
  </si>
  <si>
    <t>Painter, Spray</t>
  </si>
  <si>
    <t>L-Sftf</t>
  </si>
  <si>
    <t>Soft Floor Layer</t>
  </si>
  <si>
    <t>L-Sprf</t>
  </si>
  <si>
    <t>Sprinkler Fitter</t>
  </si>
  <si>
    <t>L-Tils</t>
  </si>
  <si>
    <t>Tile Setter</t>
  </si>
  <si>
    <t>L-Trkd</t>
  </si>
  <si>
    <t>Truck Driver</t>
  </si>
  <si>
    <t>Totals</t>
  </si>
  <si>
    <t>Column concrete; 2500 or 3000 psi; by pump</t>
  </si>
  <si>
    <t>M-B1-Cmtm</t>
  </si>
  <si>
    <t>Metal joist; K series</t>
  </si>
  <si>
    <t>M-A5-Iwst</t>
  </si>
  <si>
    <t>Elevated slab concrete; 2500 or 3000 psi; by pump</t>
  </si>
  <si>
    <t>Pre-engineered metal building; 100' x 150'; 25' eave height</t>
  </si>
  <si>
    <t>Current item category totals</t>
  </si>
  <si>
    <t>Adjustment for non-crew-based item amounts</t>
  </si>
  <si>
    <t>Discrepancy between current item and crew-based amounts</t>
  </si>
  <si>
    <t>Adjusted crew-based total</t>
  </si>
  <si>
    <t>Calculated total from export routine</t>
  </si>
  <si>
    <t>Amount Difference</t>
  </si>
  <si>
    <t>% 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</si>
</sst>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  <numFmt numFmtId="165" formatCode="_(* #,##0_);_(* \(#,##0\);_(* &quot;-&quot;??_);_(@_)"/>
    <numFmt numFmtId="166" formatCode="_(* #,##0.0000_)%;_(* \(#,##0.0000\)%;_(* &quot;-&quot;??_);_(@_)"/>
    <numFmt numFmtId="167" formatCode="_(&quot;$&quot;* #,##0.00_);_(&quot;$&quot;* \(#,##0.00\);_(&quot;$&quot;* &quot; - &quot;??_);_(@_)"/>
    <numFmt numFmtId="168" formatCode="_(* #,##0.000000_)%;_(* \(#,##0.000000\)%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0" applyFont="1" applyAlignment="1">
      <alignment horizontal="left" indent="1"/>
    </xf>
    <xf numFmtId="0" fontId="0" fillId="2" borderId="1" xfId="0" applyFill="1" applyBorder="1" applyAlignment="1">
      <alignment horizontal="left" indent="1"/>
    </xf>
    <xf numFmtId="0" fontId="0" fillId="3" borderId="1" xfId="0" applyFill="1" applyBorder="1" applyAlignment="1">
      <alignment horizontal="left" indent="1"/>
    </xf>
    <xf numFmtId="0" fontId="0" fillId="0" borderId="0" xfId="0" applyAlignment="1">
      <alignment horizontal="left" indent="1"/>
    </xf>
    <xf numFmtId="1" fontId="0" fillId="0" borderId="0" xfId="0" applyNumberFormat="1" applyAlignment="1">
      <alignment horizontal="center"/>
    </xf>
    <xf numFmtId="1" fontId="0" fillId="2" borderId="1" xfId="0" applyNumberFormat="1" applyFill="1" applyBorder="1" applyAlignment="1">
      <alignment horizontal="left" indent="1"/>
    </xf>
    <xf numFmtId="0" fontId="1" fillId="0" borderId="2" xfId="0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left" indent="1"/>
    </xf>
    <xf numFmtId="1" fontId="2" fillId="0" borderId="0" xfId="0" applyNumberFormat="1" applyFont="1" applyAlignment="1">
      <alignment horizontal="center"/>
    </xf>
    <xf numFmtId="0" fontId="4" fillId="0" borderId="0" xfId="0" applyFont="1" applyAlignment="1">
      <alignment horizontal="left" indent="1"/>
    </xf>
    <xf numFmtId="0" fontId="4" fillId="0" borderId="0" xfId="0" applyFont="1" applyAlignment="1">
      <alignment wrapText="1"/>
    </xf>
    <xf numFmtId="44" fontId="4" fillId="4" borderId="0" xfId="2" applyFont="1" applyFill="1" applyAlignment="1">
      <alignment horizontal="center" vertical="center" textRotation="90" wrapText="1"/>
    </xf>
    <xf numFmtId="0" fontId="4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44" fontId="4" fillId="0" borderId="0" xfId="2" applyFont="1" applyAlignment="1">
      <alignment wrapText="1"/>
    </xf>
    <xf numFmtId="164" fontId="4" fillId="0" borderId="0" xfId="1" applyNumberFormat="1" applyFont="1" applyAlignment="1">
      <alignment wrapText="1"/>
    </xf>
    <xf numFmtId="44" fontId="4" fillId="4" borderId="0" xfId="2" applyFont="1" applyFill="1" applyAlignment="1">
      <alignment horizontal="center" vertical="center" wrapText="1"/>
    </xf>
    <xf numFmtId="164" fontId="4" fillId="4" borderId="0" xfId="1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left" wrapText="1" indent="1"/>
    </xf>
    <xf numFmtId="0" fontId="4" fillId="0" borderId="0" xfId="0" quotePrefix="1" applyFont="1" applyAlignment="1">
      <alignment horizontal="right" indent="1"/>
    </xf>
    <xf numFmtId="0" fontId="4" fillId="0" borderId="0" xfId="0" applyFont="1" applyAlignment="1">
      <alignment horizontal="right" indent="1"/>
    </xf>
    <xf numFmtId="0" fontId="0" fillId="0" borderId="0" xfId="0" applyAlignment="1">
      <alignment horizontal="left" vertical="center" indent="1"/>
    </xf>
    <xf numFmtId="0" fontId="4" fillId="4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vertical="center"/>
    </xf>
    <xf numFmtId="44" fontId="0" fillId="0" borderId="0" xfId="0" applyNumberFormat="1" applyAlignment="1">
      <alignment vertical="center"/>
    </xf>
    <xf numFmtId="166" fontId="0" fillId="0" borderId="0" xfId="0" applyNumberFormat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65" fontId="0" fillId="5" borderId="1" xfId="0" applyNumberFormat="1" applyFill="1" applyBorder="1" applyAlignment="1">
      <alignment horizontal="center" vertical="center" textRotation="90" wrapText="1"/>
    </xf>
    <xf numFmtId="0" fontId="0" fillId="5" borderId="1" xfId="0" applyFill="1" applyBorder="1" applyAlignment="1">
      <alignment horizontal="center" vertical="center" wrapText="1"/>
    </xf>
    <xf numFmtId="44" fontId="0" fillId="5" borderId="1" xfId="0" applyNumberFormat="1" applyFill="1" applyBorder="1" applyAlignment="1">
      <alignment horizontal="center" vertical="center" wrapText="1"/>
    </xf>
    <xf numFmtId="44" fontId="0" fillId="5" borderId="1" xfId="0" applyNumberFormat="1" applyFill="1" applyBorder="1" applyAlignment="1">
      <alignment horizontal="center" vertical="center" wrapText="1"/>
    </xf>
    <xf numFmtId="166" fontId="0" fillId="5" borderId="1" xfId="0" applyNumberFormat="1" applyFill="1" applyBorder="1" applyAlignment="1">
      <alignment horizontal="center" vertical="center" wrapText="1"/>
    </xf>
    <xf numFmtId="165" fontId="1" fillId="6" borderId="3" xfId="0" applyNumberFormat="1" applyFont="1" applyFill="1" applyBorder="1" applyAlignment="1">
      <alignment vertical="center"/>
    </xf>
    <xf numFmtId="44" fontId="1" fillId="6" borderId="3" xfId="0" applyNumberFormat="1" applyFont="1" applyFill="1" applyBorder="1" applyAlignment="1">
      <alignment vertical="center"/>
    </xf>
    <xf numFmtId="4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6" borderId="3" xfId="0" applyFont="1" applyFill="1" applyBorder="1" applyAlignment="1">
      <alignment horizontal="right" vertical="center" indent="1"/>
    </xf>
    <xf numFmtId="49" fontId="0" fillId="0" borderId="0" xfId="0" applyNumberFormat="1"/>
    <xf numFmtId="164" fontId="0" fillId="0" borderId="0" xfId="0" applyNumberFormat="1"/>
    <xf numFmtId="167" fontId="0" fillId="0" borderId="0" xfId="0" applyNumberFormat="1"/>
    <xf numFmtId="49" fontId="0" fillId="0" borderId="0" xfId="0" applyNumberFormat="1" applyAlignment="1">
      <alignment horizontal="left" indent="1"/>
    </xf>
    <xf numFmtId="0" fontId="1" fillId="0" borderId="0" xfId="0" applyFont="1" applyAlignment="1">
      <alignment vertical="center"/>
    </xf>
    <xf numFmtId="49" fontId="1" fillId="0" borderId="0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horizontal="right" vertical="center" indent="1"/>
    </xf>
    <xf numFmtId="164" fontId="1" fillId="0" borderId="0" xfId="0" applyNumberFormat="1" applyFont="1" applyBorder="1" applyAlignment="1">
      <alignment vertical="center"/>
    </xf>
    <xf numFmtId="167" fontId="1" fillId="0" borderId="0" xfId="0" applyNumberFormat="1" applyFont="1" applyBorder="1" applyAlignment="1">
      <alignment vertical="center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7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quotePrefix="1" applyFont="1" applyAlignment="1">
      <alignment horizontal="left" indent="1"/>
    </xf>
    <xf numFmtId="0" fontId="7" fillId="0" borderId="0" xfId="0" applyFont="1" applyAlignment="1">
      <alignment vertical="center" wrapText="1"/>
    </xf>
    <xf numFmtId="0" fontId="7" fillId="0" borderId="4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 wrapText="1" indent="1"/>
    </xf>
    <xf numFmtId="0" fontId="7" fillId="0" borderId="4" xfId="0" applyFont="1" applyBorder="1" applyAlignment="1">
      <alignment horizontal="left" vertical="center"/>
    </xf>
    <xf numFmtId="44" fontId="7" fillId="0" borderId="4" xfId="2" applyFont="1" applyBorder="1" applyAlignment="1">
      <alignment vertical="center" wrapText="1"/>
    </xf>
    <xf numFmtId="164" fontId="7" fillId="0" borderId="4" xfId="1" applyNumberFormat="1" applyFont="1" applyBorder="1" applyAlignment="1">
      <alignment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 applyAlignment="1">
      <alignment vertical="center"/>
    </xf>
    <xf numFmtId="168" fontId="0" fillId="0" borderId="0" xfId="0" applyNumberFormat="1" applyAlignment="1">
      <alignment vertical="center"/>
    </xf>
    <xf numFmtId="164" fontId="0" fillId="5" borderId="5" xfId="0" applyNumberFormat="1" applyFill="1" applyBorder="1" applyAlignment="1">
      <alignment horizontal="center" vertical="center"/>
    </xf>
    <xf numFmtId="44" fontId="0" fillId="5" borderId="5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right" vertical="center" indent="1"/>
    </xf>
    <xf numFmtId="164" fontId="0" fillId="0" borderId="3" xfId="0" applyNumberFormat="1" applyBorder="1" applyAlignment="1">
      <alignment vertical="center"/>
    </xf>
    <xf numFmtId="44" fontId="0" fillId="0" borderId="3" xfId="0" applyNumberFormat="1" applyBorder="1" applyAlignment="1">
      <alignment vertical="center"/>
    </xf>
  </cellXfs>
  <cellStyles count="3">
    <cellStyle name="Comma" xfId="1" builtinId="3"/>
    <cellStyle name="Currency" xfId="2" builtinId="4"/>
    <cellStyle name="Normal" xfId="0" builtinId="0"/>
  </cellStyles>
  <dxfs count="15">
    <dxf>
      <numFmt numFmtId="167" formatCode="_(&quot;$&quot;* #,##0.00_);_(&quot;$&quot;* \(#,##0.00\);_(&quot;$&quot;* &quot; - &quot;??_);_(@_)"/>
    </dxf>
    <dxf>
      <numFmt numFmtId="167" formatCode="_(&quot;$&quot;* #,##0.00_);_(&quot;$&quot;* \(#,##0.00\);_(&quot;$&quot;* &quot; - &quot;??_);_(@_)"/>
      <alignment horizontal="center" vertical="center" textRotation="0" wrapText="1" indent="0" justifyLastLine="0" shrinkToFit="0" readingOrder="0"/>
    </dxf>
    <dxf>
      <numFmt numFmtId="167" formatCode="_(&quot;$&quot;* #,##0.00_);_(&quot;$&quot;* \(#,##0.00\);_(&quot;$&quot;* &quot; - &quot;??_);_(@_)"/>
    </dxf>
    <dxf>
      <numFmt numFmtId="167" formatCode="_(&quot;$&quot;* #,##0.00_);_(&quot;$&quot;* \(#,##0.00\);_(&quot;$&quot;* &quot; - &quot;??_);_(@_)"/>
    </dxf>
    <dxf>
      <numFmt numFmtId="167" formatCode="_(&quot;$&quot;* #,##0.00_);_(&quot;$&quot;* \(#,##0.00\);_(&quot;$&quot;* &quot; - &quot;??_);_(@_)"/>
    </dxf>
    <dxf>
      <numFmt numFmtId="167" formatCode="_(&quot;$&quot;* #,##0.00_);_(&quot;$&quot;* \(#,##0.00\);_(&quot;$&quot;* &quot; - &quot;??_);_(@_)"/>
    </dxf>
    <dxf>
      <numFmt numFmtId="167" formatCode="_(&quot;$&quot;* #,##0.00_);_(&quot;$&quot;* \(#,##0.00\);_(&quot;$&quot;* &quot; - &quot;??_);_(@_)"/>
    </dxf>
    <dxf>
      <numFmt numFmtId="167" formatCode="_(&quot;$&quot;* #,##0.00_);_(&quot;$&quot;* \(#,##0.00\);_(&quot;$&quot;* &quot; - &quot;??_);_(@_)"/>
    </dxf>
    <dxf>
      <numFmt numFmtId="164" formatCode="_(* #,##0.000_);_(* \(#,##0.000\);_(* &quot;-&quot;??_);_(@_)"/>
    </dxf>
    <dxf>
      <numFmt numFmtId="30" formatCode="@"/>
      <alignment horizontal="left" vertical="bottom" textRotation="0" wrapText="0" indent="1" justifyLastLine="0" shrinkToFit="0" readingOrder="0"/>
    </dxf>
    <dxf>
      <numFmt numFmtId="30" formatCode="@"/>
      <alignment horizontal="left" vertical="bottom" textRotation="0" wrapText="0" indent="1" justifyLastLine="0" shrinkToFit="0" readingOrder="0"/>
    </dxf>
    <dxf>
      <border outline="0">
        <bottom style="thin">
          <color indexed="64"/>
        </bottom>
      </border>
    </dxf>
    <dxf>
      <fill>
        <patternFill>
          <bgColor rgb="FF92D050"/>
        </patternFill>
      </fill>
    </dxf>
    <dxf>
      <fill>
        <patternFill>
          <bgColor rgb="FFFFC050"/>
        </patternFill>
      </fill>
    </dxf>
    <dxf>
      <fill>
        <patternFill>
          <bgColor rgb="FFFFC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B2EE559-546E-40ED-898C-CE69027CD2E0}" name="ResourceAuditLab" displayName="ResourceAuditLab" ref="A1:J21" totalsRowShown="0" headerRowDxfId="1" tableBorderDxfId="11">
  <autoFilter ref="A1:J21" xr:uid="{4B2EE559-546E-40ED-898C-CE69027CD2E0}"/>
  <tableColumns count="10">
    <tableColumn id="1" xr3:uid="{E71D68DC-9367-426E-8546-0E9F761EC706}" name="Resource ID" dataDxfId="10"/>
    <tableColumn id="2" xr3:uid="{51DA88AF-A662-4C33-8A7F-A8F656F2AD73}" name="Resource Description" dataDxfId="9"/>
    <tableColumn id="3" xr3:uid="{6A70F846-0D26-4F23-9E94-CCC0D72E1FBA}" name="Hours" dataDxfId="8"/>
    <tableColumn id="4" xr3:uid="{0F2A4C8D-AB68-4CD1-A994-3D2972C94930}" name="Total Amount" dataDxfId="0">
      <calculatedColumnFormula>SUM(ResourceAuditLab[[#This Row],[Base Amount]]:ResourceAuditLab[[#This Row],[Trade Profit]])</calculatedColumnFormula>
    </tableColumn>
    <tableColumn id="5" xr3:uid="{F7A1EEFA-6EBF-4FA3-87F4-FF7BBCDBC09F}" name="Base Amount" dataDxfId="7"/>
    <tableColumn id="6" xr3:uid="{6C5A480B-896E-4495-B79D-44CC5E1B67F6}" name="Trade Fringes" dataDxfId="6"/>
    <tableColumn id="7" xr3:uid="{A301A0CC-5010-4D01-9C30-372FA5B61502}" name="WC Insurance" dataDxfId="5"/>
    <tableColumn id="8" xr3:uid="{A2C4B800-5BE2-4B5E-A908-F6F12B7B6E2D}" name="Trade Fixed OH" dataDxfId="4"/>
    <tableColumn id="9" xr3:uid="{0F1458D6-6ED7-467A-9698-B6F4EB080F84}" name="Trade Overhead" dataDxfId="3"/>
    <tableColumn id="10" xr3:uid="{0F7BCEAD-07D6-47EB-8AF3-493AFA41D23A}" name="Trade Profit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EF0C7-6F6D-4283-924E-0EA9D3C91A1C}">
  <sheetPr codeName="Sheet3">
    <pageSetUpPr fitToPage="1"/>
  </sheetPr>
  <dimension ref="A1:D11"/>
  <sheetViews>
    <sheetView showGridLines="0" workbookViewId="0">
      <pane ySplit="10" topLeftCell="A11" activePane="bottomLeft" state="frozen"/>
      <selection pane="bottomLeft" activeCell="B6" sqref="B6"/>
    </sheetView>
  </sheetViews>
  <sheetFormatPr defaultRowHeight="15" x14ac:dyDescent="0.25"/>
  <cols>
    <col min="1" max="1" width="35.7109375" style="4" customWidth="1"/>
    <col min="2" max="2" width="40.7109375" style="9" customWidth="1"/>
    <col min="3" max="3" width="6.7109375" style="10" customWidth="1"/>
    <col min="4" max="4" width="10.7109375" style="9" customWidth="1"/>
  </cols>
  <sheetData>
    <row r="1" spans="1:4" x14ac:dyDescent="0.25">
      <c r="B1" s="4"/>
      <c r="C1" s="5"/>
      <c r="D1" s="4"/>
    </row>
    <row r="2" spans="1:4" x14ac:dyDescent="0.25">
      <c r="A2" s="1" t="s">
        <v>4</v>
      </c>
      <c r="B2" s="2" t="s">
        <v>22</v>
      </c>
      <c r="C2" s="5"/>
      <c r="D2" s="4"/>
    </row>
    <row r="3" spans="1:4" x14ac:dyDescent="0.25">
      <c r="A3" s="1" t="s">
        <v>0</v>
      </c>
      <c r="B3" s="2" t="s">
        <v>23</v>
      </c>
      <c r="C3" s="5"/>
      <c r="D3" s="4"/>
    </row>
    <row r="4" spans="1:4" x14ac:dyDescent="0.25">
      <c r="A4" s="1" t="s">
        <v>1</v>
      </c>
      <c r="B4" s="6">
        <v>47</v>
      </c>
      <c r="C4" s="5"/>
      <c r="D4" s="4"/>
    </row>
    <row r="5" spans="1:4" x14ac:dyDescent="0.25">
      <c r="B5" s="4"/>
      <c r="C5" s="5"/>
      <c r="D5" s="4"/>
    </row>
    <row r="6" spans="1:4" x14ac:dyDescent="0.25">
      <c r="A6" s="1" t="s">
        <v>2</v>
      </c>
      <c r="B6" s="3" t="s">
        <v>24</v>
      </c>
      <c r="C6" s="5"/>
      <c r="D6" s="4"/>
    </row>
    <row r="7" spans="1:4" x14ac:dyDescent="0.25">
      <c r="A7" s="1" t="s">
        <v>5</v>
      </c>
      <c r="B7" s="3"/>
      <c r="C7" s="5"/>
      <c r="D7" s="4"/>
    </row>
    <row r="8" spans="1:4" x14ac:dyDescent="0.25">
      <c r="A8" s="1" t="s">
        <v>3</v>
      </c>
      <c r="B8" s="3" t="s">
        <v>25</v>
      </c>
      <c r="C8" s="5"/>
      <c r="D8" s="4"/>
    </row>
    <row r="9" spans="1:4" x14ac:dyDescent="0.25">
      <c r="B9" s="4"/>
      <c r="C9" s="5"/>
      <c r="D9" s="4"/>
    </row>
    <row r="10" spans="1:4" x14ac:dyDescent="0.25">
      <c r="A10" s="1" t="s">
        <v>9</v>
      </c>
      <c r="B10" s="7" t="s">
        <v>7</v>
      </c>
      <c r="C10" s="8" t="s">
        <v>6</v>
      </c>
      <c r="D10" s="8" t="s">
        <v>8</v>
      </c>
    </row>
    <row r="11" spans="1:4" x14ac:dyDescent="0.25">
      <c r="B11" s="9" t="s">
        <v>26</v>
      </c>
    </row>
  </sheetData>
  <pageMargins left="0.75" right="0.75" top="0.75" bottom="0.75" header="0.3" footer="0.3"/>
  <pageSetup scale="94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6CF73-0C55-4654-BFDD-489D0945E3FB}">
  <sheetPr codeName="Sheet1">
    <pageSetUpPr fitToPage="1"/>
  </sheetPr>
  <dimension ref="A1:M7"/>
  <sheetViews>
    <sheetView zoomScaleNormal="100" workbookViewId="0">
      <pane xSplit="5" ySplit="2" topLeftCell="F3" activePane="bottomRight" state="frozen"/>
      <selection pane="topRight" activeCell="F1" sqref="F1"/>
      <selection pane="bottomLeft" activeCell="A3" sqref="A3"/>
      <selection pane="bottomRight" sqref="A1:E1"/>
    </sheetView>
  </sheetViews>
  <sheetFormatPr defaultRowHeight="12" outlineLevelCol="1" x14ac:dyDescent="0.2"/>
  <cols>
    <col min="1" max="1" width="8.7109375" style="22" customWidth="1"/>
    <col min="2" max="2" width="11.7109375" style="22" hidden="1" customWidth="1" outlineLevel="1"/>
    <col min="3" max="3" width="10.7109375" style="22" hidden="1" customWidth="1" outlineLevel="1"/>
    <col min="4" max="4" width="60.7109375" style="20" customWidth="1" collapsed="1"/>
    <col min="5" max="5" width="11.7109375" style="11" customWidth="1"/>
    <col min="6" max="7" width="16.7109375" style="16" customWidth="1"/>
    <col min="8" max="9" width="14.7109375" style="17" customWidth="1"/>
    <col min="10" max="11" width="16.7109375" style="16" customWidth="1"/>
    <col min="12" max="13" width="14.7109375" style="17" customWidth="1"/>
    <col min="14" max="16384" width="9.140625" style="12"/>
  </cols>
  <sheetData>
    <row r="1" spans="1:13" ht="45" customHeight="1" x14ac:dyDescent="0.2">
      <c r="A1" s="25" t="s">
        <v>18</v>
      </c>
      <c r="B1" s="25"/>
      <c r="C1" s="25"/>
      <c r="D1" s="25"/>
      <c r="E1" s="26"/>
      <c r="F1" s="24" t="s">
        <v>11</v>
      </c>
      <c r="G1" s="24"/>
      <c r="H1" s="24"/>
      <c r="I1" s="24"/>
      <c r="J1" s="24" t="s">
        <v>12</v>
      </c>
      <c r="K1" s="24"/>
      <c r="L1" s="24"/>
      <c r="M1" s="24"/>
    </row>
    <row r="2" spans="1:13" ht="51" customHeight="1" x14ac:dyDescent="0.2">
      <c r="A2" s="13" t="s">
        <v>13</v>
      </c>
      <c r="B2" s="14" t="s">
        <v>14</v>
      </c>
      <c r="C2" s="14" t="s">
        <v>15</v>
      </c>
      <c r="D2" s="14" t="s">
        <v>10</v>
      </c>
      <c r="E2" s="15" t="s">
        <v>17</v>
      </c>
      <c r="F2" s="18" t="s">
        <v>20</v>
      </c>
      <c r="G2" s="18" t="s">
        <v>16</v>
      </c>
      <c r="H2" s="19" t="s">
        <v>19</v>
      </c>
      <c r="I2" s="19" t="s">
        <v>21</v>
      </c>
      <c r="J2" s="18" t="s">
        <v>20</v>
      </c>
      <c r="K2" s="18" t="s">
        <v>16</v>
      </c>
      <c r="L2" s="19" t="s">
        <v>19</v>
      </c>
      <c r="M2" s="19" t="s">
        <v>21</v>
      </c>
    </row>
    <row r="3" spans="1:13" x14ac:dyDescent="0.2">
      <c r="A3" s="22">
        <v>13</v>
      </c>
      <c r="B3" s="21">
        <v>33100.15</v>
      </c>
      <c r="C3" s="58">
        <v>1010</v>
      </c>
      <c r="D3" s="20" t="s">
        <v>93</v>
      </c>
      <c r="E3" s="11" t="s">
        <v>94</v>
      </c>
      <c r="F3" s="16">
        <v>0.03</v>
      </c>
    </row>
    <row r="4" spans="1:13" x14ac:dyDescent="0.2">
      <c r="A4" s="22">
        <v>43</v>
      </c>
      <c r="B4" s="22">
        <v>52119</v>
      </c>
      <c r="C4" s="11">
        <v>120</v>
      </c>
      <c r="D4" s="20" t="s">
        <v>95</v>
      </c>
      <c r="E4" s="11" t="s">
        <v>96</v>
      </c>
      <c r="F4" s="16">
        <v>0.06</v>
      </c>
    </row>
    <row r="5" spans="1:13" x14ac:dyDescent="0.2">
      <c r="A5" s="22">
        <v>46</v>
      </c>
      <c r="B5" s="22">
        <v>33100.199999999997</v>
      </c>
      <c r="C5" s="11">
        <v>1010</v>
      </c>
      <c r="D5" s="20" t="s">
        <v>97</v>
      </c>
      <c r="E5" s="11" t="s">
        <v>94</v>
      </c>
      <c r="F5" s="16">
        <v>-0.06</v>
      </c>
    </row>
    <row r="6" spans="1:13" ht="12.75" thickBot="1" x14ac:dyDescent="0.25">
      <c r="A6" s="22">
        <v>50</v>
      </c>
      <c r="B6" s="22">
        <v>133419</v>
      </c>
      <c r="C6" s="11">
        <v>1400</v>
      </c>
      <c r="D6" s="20" t="s">
        <v>98</v>
      </c>
      <c r="E6" s="11" t="s">
        <v>96</v>
      </c>
      <c r="F6" s="16">
        <v>7.0000000000000007E-2</v>
      </c>
    </row>
    <row r="7" spans="1:13" s="59" customFormat="1" ht="18" customHeight="1" x14ac:dyDescent="0.25">
      <c r="A7" s="60"/>
      <c r="B7" s="60"/>
      <c r="C7" s="60"/>
      <c r="D7" s="61" t="s">
        <v>92</v>
      </c>
      <c r="E7" s="62"/>
      <c r="F7" s="63">
        <f t="shared" ref="F7:M7" si="0">SUBTOTAL(9,F3:F6)</f>
        <v>0.1</v>
      </c>
      <c r="G7" s="63">
        <f t="shared" si="0"/>
        <v>0</v>
      </c>
      <c r="H7" s="64">
        <f t="shared" si="0"/>
        <v>0</v>
      </c>
      <c r="I7" s="64">
        <f t="shared" si="0"/>
        <v>0</v>
      </c>
      <c r="J7" s="63">
        <f t="shared" si="0"/>
        <v>0</v>
      </c>
      <c r="K7" s="63">
        <f t="shared" si="0"/>
        <v>0</v>
      </c>
      <c r="L7" s="64">
        <f t="shared" si="0"/>
        <v>0</v>
      </c>
      <c r="M7" s="64">
        <f t="shared" si="0"/>
        <v>0</v>
      </c>
    </row>
  </sheetData>
  <autoFilter ref="A2:M2" xr:uid="{314E05D9-9F76-4957-9363-EC243D44BB53}"/>
  <mergeCells count="3">
    <mergeCell ref="F1:I1"/>
    <mergeCell ref="J1:M1"/>
    <mergeCell ref="A1:E1"/>
  </mergeCells>
  <printOptions gridLines="1"/>
  <pageMargins left="0.5" right="0.5" top="0.5" bottom="0.5" header="0.3" footer="0.3"/>
  <pageSetup scale="60" fitToHeight="0" orientation="landscape" horizontalDpi="0" verticalDpi="0" r:id="rId1"/>
  <headerFooter>
    <oddHeader>&amp;L&amp;"-,Bold"&amp;14&amp;A</oddHeader>
    <oddFooter>&amp;LPrepared &amp;D&amp;RPage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06027-71AC-48A6-A582-7FB56D4AA6A8}">
  <sheetPr>
    <pageSetUpPr fitToPage="1"/>
  </sheetPr>
  <dimension ref="A1:E9"/>
  <sheetViews>
    <sheetView showGridLines="0" workbookViewId="0">
      <selection activeCell="B8" sqref="B8"/>
    </sheetView>
  </sheetViews>
  <sheetFormatPr defaultRowHeight="15" x14ac:dyDescent="0.25"/>
  <cols>
    <col min="1" max="1" width="60.7109375" style="65" customWidth="1"/>
    <col min="2" max="2" width="16.7109375" style="66" customWidth="1"/>
    <col min="3" max="3" width="18.7109375" style="31" customWidth="1"/>
    <col min="4" max="5" width="9.140625" style="27"/>
  </cols>
  <sheetData>
    <row r="1" spans="1:5" s="28" customFormat="1" ht="18" customHeight="1" x14ac:dyDescent="0.25">
      <c r="A1" s="29"/>
      <c r="B1" s="33" t="s">
        <v>11</v>
      </c>
      <c r="C1" s="33"/>
      <c r="D1" s="29"/>
      <c r="E1" s="29"/>
    </row>
    <row r="2" spans="1:5" s="28" customFormat="1" ht="18" customHeight="1" x14ac:dyDescent="0.25">
      <c r="A2" s="29"/>
      <c r="B2" s="68" t="s">
        <v>44</v>
      </c>
      <c r="C2" s="69" t="s">
        <v>32</v>
      </c>
      <c r="D2" s="29"/>
      <c r="E2" s="29"/>
    </row>
    <row r="3" spans="1:5" ht="18" customHeight="1" x14ac:dyDescent="0.25">
      <c r="A3" s="70" t="s">
        <v>99</v>
      </c>
      <c r="B3" s="71">
        <v>5090.1329999999998</v>
      </c>
      <c r="C3" s="72">
        <v>681581.46</v>
      </c>
    </row>
    <row r="4" spans="1:5" ht="18" customHeight="1" x14ac:dyDescent="0.25">
      <c r="A4" s="65" t="s">
        <v>100</v>
      </c>
      <c r="B4" s="66">
        <f>-TotLabManHoursWithoutCrew + -TotLabManHoursCrewsWithoutResources</f>
        <v>0</v>
      </c>
      <c r="C4" s="31">
        <f>-TotLabAmountWithoutCrew</f>
        <v>0</v>
      </c>
    </row>
    <row r="5" spans="1:5" ht="18" customHeight="1" x14ac:dyDescent="0.25">
      <c r="A5" s="65" t="s">
        <v>101</v>
      </c>
      <c r="C5" s="31">
        <f>-TotLabAmountCrewDiscrepancy</f>
        <v>-0.1</v>
      </c>
    </row>
    <row r="6" spans="1:5" ht="18" customHeight="1" x14ac:dyDescent="0.25">
      <c r="A6" s="70" t="s">
        <v>102</v>
      </c>
      <c r="B6" s="71">
        <f t="shared" ref="B6:C6" si="0">SUM(B3:B5)</f>
        <v>5090.1329999999998</v>
      </c>
      <c r="C6" s="72">
        <f t="shared" si="0"/>
        <v>681581.36</v>
      </c>
    </row>
    <row r="7" spans="1:5" ht="18" customHeight="1" x14ac:dyDescent="0.25">
      <c r="A7" s="65" t="s">
        <v>103</v>
      </c>
      <c r="B7" s="66">
        <f>'Resource Cost Audit - Labor'!TotResourceHours</f>
        <v>5090.1349999999993</v>
      </c>
      <c r="C7" s="31">
        <f>'Resource Cost Audit - Labor'!TotResourceAmount</f>
        <v>681581.38</v>
      </c>
    </row>
    <row r="8" spans="1:5" ht="18" customHeight="1" x14ac:dyDescent="0.25">
      <c r="A8" s="70" t="s">
        <v>104</v>
      </c>
      <c r="B8" s="71">
        <f t="shared" ref="B8:C8" si="1">B6-B7</f>
        <v>-1.9999999994979589E-3</v>
      </c>
      <c r="C8" s="72">
        <f t="shared" si="1"/>
        <v>-2.0000000018626451E-2</v>
      </c>
    </row>
    <row r="9" spans="1:5" ht="18" customHeight="1" x14ac:dyDescent="0.25">
      <c r="A9" s="65" t="s">
        <v>105</v>
      </c>
      <c r="B9" s="67">
        <f t="shared" ref="B9:C9" si="2">IF(SUM(B6)&lt;&gt;0,B8/B6,IF(SUM(B8)&lt;&gt;0,"n/a",0))</f>
        <v>-3.9291704155823808E-7</v>
      </c>
      <c r="C9" s="67">
        <f t="shared" si="2"/>
        <v>-2.934352550167518E-8</v>
      </c>
    </row>
  </sheetData>
  <mergeCells count="1">
    <mergeCell ref="B1:C1"/>
  </mergeCells>
  <printOptions horizontalCentered="1"/>
  <pageMargins left="0.5" right="0.5" top="0.75" bottom="0.5" header="0.3" footer="0.3"/>
  <pageSetup scale="99" fitToHeight="0" orientation="portrait" horizontalDpi="0" verticalDpi="0" r:id="rId1"/>
  <headerFooter>
    <oddHeader>&amp;L&amp;B&amp;14&amp;A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70BCA-08CB-4825-BD53-C2B0A8CBB3A2}">
  <sheetPr>
    <pageSetUpPr fitToPage="1"/>
  </sheetPr>
  <dimension ref="A1:F12"/>
  <sheetViews>
    <sheetView workbookViewId="0">
      <pane ySplit="2" topLeftCell="A3" activePane="bottomLeft" state="frozenSplit"/>
      <selection pane="bottomLeft" sqref="A1:A2"/>
    </sheetView>
  </sheetViews>
  <sheetFormatPr defaultRowHeight="15" x14ac:dyDescent="0.25"/>
  <cols>
    <col min="1" max="1" width="8.7109375" style="30" customWidth="1"/>
    <col min="2" max="2" width="31.7109375" style="23" customWidth="1"/>
    <col min="3" max="5" width="18.7109375" style="31" customWidth="1"/>
    <col min="6" max="6" width="8.7109375" style="32" customWidth="1"/>
  </cols>
  <sheetData>
    <row r="1" spans="1:6" s="28" customFormat="1" ht="18" customHeight="1" x14ac:dyDescent="0.25">
      <c r="A1" s="34" t="s">
        <v>27</v>
      </c>
      <c r="B1" s="35" t="s">
        <v>10</v>
      </c>
      <c r="C1" s="36" t="s">
        <v>28</v>
      </c>
      <c r="D1" s="36"/>
      <c r="E1" s="35" t="s">
        <v>31</v>
      </c>
      <c r="F1" s="35"/>
    </row>
    <row r="2" spans="1:6" s="28" customFormat="1" ht="36" customHeight="1" x14ac:dyDescent="0.25">
      <c r="A2" s="34"/>
      <c r="B2" s="35"/>
      <c r="C2" s="37" t="s">
        <v>29</v>
      </c>
      <c r="D2" s="37" t="s">
        <v>30</v>
      </c>
      <c r="E2" s="37" t="s">
        <v>32</v>
      </c>
      <c r="F2" s="38" t="s">
        <v>33</v>
      </c>
    </row>
    <row r="3" spans="1:6" x14ac:dyDescent="0.25">
      <c r="A3" s="30">
        <v>1</v>
      </c>
      <c r="B3" s="23" t="s">
        <v>11</v>
      </c>
      <c r="C3" s="31">
        <v>681581.46</v>
      </c>
      <c r="D3" s="31">
        <v>681581.46</v>
      </c>
      <c r="E3" s="31">
        <f>SUM(C3)-SUM(D3)</f>
        <v>0</v>
      </c>
      <c r="F3" s="32">
        <f>IF(E3&lt;&gt;"",IF(SUM(D3)&lt;&gt;0,E3/D3,IF(SUM(C3)&lt;&gt;0,"n/a",0)),"")</f>
        <v>0</v>
      </c>
    </row>
    <row r="4" spans="1:6" x14ac:dyDescent="0.25">
      <c r="A4" s="30">
        <v>2</v>
      </c>
      <c r="B4" s="23" t="s">
        <v>34</v>
      </c>
      <c r="C4" s="31">
        <v>740574.07</v>
      </c>
      <c r="D4" s="31">
        <v>740574.07</v>
      </c>
      <c r="E4" s="31">
        <f>SUM(C4)-SUM(D4)</f>
        <v>0</v>
      </c>
      <c r="F4" s="32">
        <f>IF(E4&lt;&gt;"",IF(SUM(D4)&lt;&gt;0,E4/D4,IF(SUM(C4)&lt;&gt;0,"n/a",0)),"")</f>
        <v>0</v>
      </c>
    </row>
    <row r="5" spans="1:6" x14ac:dyDescent="0.25">
      <c r="A5" s="30">
        <v>3</v>
      </c>
      <c r="B5" s="23" t="s">
        <v>35</v>
      </c>
      <c r="C5" s="31">
        <v>0</v>
      </c>
      <c r="D5" s="31">
        <v>0</v>
      </c>
      <c r="E5" s="31">
        <f>SUM(C5)-SUM(D5)</f>
        <v>0</v>
      </c>
      <c r="F5" s="32">
        <f>IF(E5&lt;&gt;"",IF(SUM(D5)&lt;&gt;0,E5/D5,IF(SUM(C5)&lt;&gt;0,"n/a",0)),"")</f>
        <v>0</v>
      </c>
    </row>
    <row r="6" spans="1:6" x14ac:dyDescent="0.25">
      <c r="A6" s="30">
        <v>4</v>
      </c>
      <c r="B6" s="23" t="s">
        <v>12</v>
      </c>
      <c r="C6" s="31">
        <v>86525.96</v>
      </c>
      <c r="D6" s="31">
        <v>86525.96</v>
      </c>
      <c r="E6" s="31">
        <f>SUM(C6)-SUM(D6)</f>
        <v>0</v>
      </c>
      <c r="F6" s="32">
        <f>IF(E6&lt;&gt;"",IF(SUM(D6)&lt;&gt;0,E6/D6,IF(SUM(C6)&lt;&gt;0,"n/a",0)),"")</f>
        <v>0</v>
      </c>
    </row>
    <row r="7" spans="1:6" x14ac:dyDescent="0.25">
      <c r="A7" s="30">
        <v>5</v>
      </c>
      <c r="B7" s="23" t="s">
        <v>36</v>
      </c>
      <c r="C7" s="31">
        <v>0</v>
      </c>
      <c r="D7" s="31">
        <v>0</v>
      </c>
      <c r="E7" s="31">
        <f>SUM(C7)-SUM(D7)</f>
        <v>0</v>
      </c>
      <c r="F7" s="32">
        <f>IF(E7&lt;&gt;"",IF(SUM(D7)&lt;&gt;0,E7/D7,IF(SUM(C7)&lt;&gt;0,"n/a",0)),"")</f>
        <v>0</v>
      </c>
    </row>
    <row r="8" spans="1:6" s="43" customFormat="1" ht="21" customHeight="1" x14ac:dyDescent="0.25">
      <c r="A8" s="39">
        <v>6</v>
      </c>
      <c r="B8" s="44" t="s">
        <v>37</v>
      </c>
      <c r="C8" s="40">
        <v>1508681.49</v>
      </c>
      <c r="D8" s="40">
        <v>1508681.49</v>
      </c>
      <c r="E8" s="41"/>
      <c r="F8" s="42" t="str">
        <f>IF(E8&lt;&gt;"",IF(SUM(D8)&lt;&gt;0,E8/D8,IF(SUM(C8)&lt;&gt;0,"n/a",0)),"")</f>
        <v/>
      </c>
    </row>
    <row r="9" spans="1:6" x14ac:dyDescent="0.25">
      <c r="A9" s="30">
        <v>7</v>
      </c>
      <c r="B9" s="23" t="s">
        <v>38</v>
      </c>
      <c r="C9" s="31">
        <v>105607.7</v>
      </c>
      <c r="D9" s="31">
        <v>105607.7</v>
      </c>
      <c r="E9" s="31">
        <f>SUM(C9)-SUM(D9)</f>
        <v>0</v>
      </c>
      <c r="F9" s="32">
        <f>IF(E9&lt;&gt;"",IF(SUM(D9)&lt;&gt;0,E9/D9,IF(SUM(C9)&lt;&gt;0,"n/a",0)),"")</f>
        <v>0</v>
      </c>
    </row>
    <row r="10" spans="1:6" s="43" customFormat="1" ht="21" customHeight="1" x14ac:dyDescent="0.25">
      <c r="A10" s="39">
        <v>8</v>
      </c>
      <c r="B10" s="44" t="s">
        <v>39</v>
      </c>
      <c r="C10" s="40">
        <v>1614289.19</v>
      </c>
      <c r="D10" s="40">
        <v>1614289.19</v>
      </c>
      <c r="E10" s="41"/>
      <c r="F10" s="42" t="str">
        <f>IF(E10&lt;&gt;"",IF(SUM(D10)&lt;&gt;0,E10/D10,IF(SUM(C10)&lt;&gt;0,"n/a",0)),"")</f>
        <v/>
      </c>
    </row>
    <row r="11" spans="1:6" x14ac:dyDescent="0.25">
      <c r="A11" s="30">
        <v>9</v>
      </c>
      <c r="B11" s="23" t="s">
        <v>40</v>
      </c>
      <c r="C11" s="31">
        <v>80714.460000000006</v>
      </c>
      <c r="D11" s="31">
        <v>80714.460000000006</v>
      </c>
      <c r="E11" s="31">
        <f>SUM(C11)-SUM(D11)</f>
        <v>0</v>
      </c>
      <c r="F11" s="32">
        <f>IF(E11&lt;&gt;"",IF(SUM(D11)&lt;&gt;0,E11/D11,IF(SUM(C11)&lt;&gt;0,"n/a",0)),"")</f>
        <v>0</v>
      </c>
    </row>
    <row r="12" spans="1:6" x14ac:dyDescent="0.25">
      <c r="A12" s="30">
        <v>10</v>
      </c>
      <c r="B12" s="23" t="s">
        <v>41</v>
      </c>
      <c r="C12" s="31">
        <v>25425.05</v>
      </c>
      <c r="D12" s="31">
        <v>25425.05</v>
      </c>
      <c r="E12" s="31">
        <f>SUM(C12)-SUM(D12)</f>
        <v>0</v>
      </c>
      <c r="F12" s="32">
        <f>IF(E12&lt;&gt;"",IF(SUM(D12)&lt;&gt;0,E12/D12,IF(SUM(C12)&lt;&gt;0,"n/a",0)),"")</f>
        <v>0</v>
      </c>
    </row>
  </sheetData>
  <autoFilter ref="A2:F2" xr:uid="{11B70BCA-08CB-4825-BD53-C2B0A8CBB3A2}"/>
  <mergeCells count="4">
    <mergeCell ref="A1:A2"/>
    <mergeCell ref="B1:B2"/>
    <mergeCell ref="C1:D1"/>
    <mergeCell ref="E1:F1"/>
  </mergeCells>
  <conditionalFormatting sqref="E3:F12">
    <cfRule type="expression" dxfId="14" priority="1" stopIfTrue="1">
      <formula>ABS($F3)&gt;0.0001</formula>
    </cfRule>
    <cfRule type="expression" dxfId="13" priority="2" stopIfTrue="1">
      <formula>$F3="n/a"</formula>
    </cfRule>
    <cfRule type="expression" dxfId="12" priority="3" stopIfTrue="1">
      <formula>AND($E3&lt;&gt;"",$F3&lt;&gt;"n/a",ABS($F3)&lt;=0.001)</formula>
    </cfRule>
  </conditionalFormatting>
  <printOptions horizontalCentered="1" gridLines="1"/>
  <pageMargins left="0.5" right="0.5" top="0.75" bottom="0.5" header="0.3" footer="0.3"/>
  <pageSetup scale="90" fitToHeight="0" orientation="portrait" horizontalDpi="0" verticalDpi="0" r:id="rId1"/>
  <headerFooter>
    <oddHeader>&amp;L&amp;B&amp;14&amp;A</oddHeader>
    <oddFooter>&amp;CPage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7127A-F52C-4B3A-8B1D-9A00220D57A6}">
  <sheetPr>
    <pageSetUpPr fitToPage="1"/>
  </sheetPr>
  <dimension ref="A1:J22"/>
  <sheetViews>
    <sheetView tabSelected="1" workbookViewId="0">
      <pane xSplit="4" ySplit="1" topLeftCell="E2" activePane="bottomRight" state="frozenSplit"/>
      <selection pane="topRight" activeCell="E1" sqref="E1"/>
      <selection pane="bottomLeft" activeCell="A2" sqref="A2"/>
      <selection pane="bottomRight" activeCell="D22" sqref="D22"/>
    </sheetView>
  </sheetViews>
  <sheetFormatPr defaultRowHeight="15" x14ac:dyDescent="0.25"/>
  <cols>
    <col min="1" max="1" width="17.7109375" style="45" customWidth="1"/>
    <col min="2" max="2" width="39.7109375" style="45" customWidth="1"/>
    <col min="3" max="3" width="16.7109375" style="46" customWidth="1"/>
    <col min="4" max="5" width="18.7109375" style="47" customWidth="1"/>
    <col min="6" max="10" width="16.7109375" style="47" customWidth="1"/>
  </cols>
  <sheetData>
    <row r="1" spans="1:10" s="57" customFormat="1" x14ac:dyDescent="0.25">
      <c r="A1" s="54" t="s">
        <v>42</v>
      </c>
      <c r="B1" s="54" t="s">
        <v>43</v>
      </c>
      <c r="C1" s="55" t="s">
        <v>44</v>
      </c>
      <c r="D1" s="56" t="s">
        <v>45</v>
      </c>
      <c r="E1" s="56" t="s">
        <v>46</v>
      </c>
      <c r="F1" s="56" t="s">
        <v>48</v>
      </c>
      <c r="G1" s="56" t="s">
        <v>51</v>
      </c>
      <c r="H1" s="56" t="s">
        <v>47</v>
      </c>
      <c r="I1" s="56" t="s">
        <v>49</v>
      </c>
      <c r="J1" s="56" t="s">
        <v>50</v>
      </c>
    </row>
    <row r="2" spans="1:10" x14ac:dyDescent="0.25">
      <c r="A2" s="48" t="s">
        <v>52</v>
      </c>
      <c r="B2" s="48" t="s">
        <v>53</v>
      </c>
      <c r="C2" s="46">
        <v>59.326999999999998</v>
      </c>
      <c r="D2" s="47">
        <f>SUM(ResourceAuditLab[[#This Row],[Base Amount]]:ResourceAuditLab[[#This Row],[Trade Profit]])</f>
        <v>7768.1599999999989</v>
      </c>
      <c r="E2" s="47">
        <v>3203.66</v>
      </c>
      <c r="F2" s="47">
        <v>2739.72</v>
      </c>
      <c r="G2" s="47">
        <v>559.33000000000004</v>
      </c>
      <c r="H2" s="47">
        <v>592.67999999999995</v>
      </c>
      <c r="I2" s="47">
        <v>352.4</v>
      </c>
      <c r="J2" s="47">
        <v>320.37</v>
      </c>
    </row>
    <row r="3" spans="1:10" x14ac:dyDescent="0.25">
      <c r="A3" s="48" t="s">
        <v>54</v>
      </c>
      <c r="B3" s="48" t="s">
        <v>55</v>
      </c>
      <c r="C3" s="46">
        <v>40.069000000000003</v>
      </c>
      <c r="D3" s="47">
        <f>SUM(ResourceAuditLab[[#This Row],[Base Amount]]:ResourceAuditLab[[#This Row],[Trade Profit]])</f>
        <v>5612.75</v>
      </c>
      <c r="E3" s="47">
        <v>2765.16</v>
      </c>
      <c r="F3" s="47">
        <v>1368.76</v>
      </c>
      <c r="G3" s="47">
        <v>248.31</v>
      </c>
      <c r="H3" s="47">
        <v>511.56</v>
      </c>
      <c r="I3" s="47">
        <v>442.44</v>
      </c>
      <c r="J3" s="47">
        <v>276.52</v>
      </c>
    </row>
    <row r="4" spans="1:10" x14ac:dyDescent="0.25">
      <c r="A4" s="48" t="s">
        <v>56</v>
      </c>
      <c r="B4" s="48" t="s">
        <v>57</v>
      </c>
      <c r="C4" s="46">
        <v>328.75200000000001</v>
      </c>
      <c r="D4" s="47">
        <f>SUM(ResourceAuditLab[[#This Row],[Base Amount]]:ResourceAuditLab[[#This Row],[Trade Profit]])</f>
        <v>39148.39</v>
      </c>
      <c r="E4" s="47">
        <v>17085.22</v>
      </c>
      <c r="F4" s="47">
        <v>11032.9</v>
      </c>
      <c r="G4" s="47">
        <v>4281.66</v>
      </c>
      <c r="H4" s="47">
        <v>3160.62</v>
      </c>
      <c r="I4" s="47">
        <v>1879.47</v>
      </c>
      <c r="J4" s="47">
        <v>1708.52</v>
      </c>
    </row>
    <row r="5" spans="1:10" x14ac:dyDescent="0.25">
      <c r="A5" s="48" t="s">
        <v>58</v>
      </c>
      <c r="B5" s="48" t="s">
        <v>59</v>
      </c>
      <c r="C5" s="46">
        <v>793.32500000000005</v>
      </c>
      <c r="D5" s="47">
        <f>SUM(ResourceAuditLab[[#This Row],[Base Amount]]:ResourceAuditLab[[#This Row],[Trade Profit]])</f>
        <v>103876.37000000001</v>
      </c>
      <c r="E5" s="47">
        <v>42839.54</v>
      </c>
      <c r="F5" s="47">
        <v>36635.74</v>
      </c>
      <c r="G5" s="47">
        <v>7479.47</v>
      </c>
      <c r="H5" s="47">
        <v>7925.32</v>
      </c>
      <c r="I5" s="47">
        <v>4712.3500000000004</v>
      </c>
      <c r="J5" s="47">
        <v>4283.95</v>
      </c>
    </row>
    <row r="6" spans="1:10" x14ac:dyDescent="0.25">
      <c r="A6" s="48" t="s">
        <v>60</v>
      </c>
      <c r="B6" s="48" t="s">
        <v>61</v>
      </c>
      <c r="C6" s="46">
        <v>72.917000000000002</v>
      </c>
      <c r="D6" s="47">
        <f>SUM(ResourceAuditLab[[#This Row],[Base Amount]]:ResourceAuditLab[[#This Row],[Trade Profit]])</f>
        <v>7153.99</v>
      </c>
      <c r="E6" s="47">
        <v>3332.29</v>
      </c>
      <c r="F6" s="47">
        <v>2017.6</v>
      </c>
      <c r="G6" s="47">
        <v>487.81</v>
      </c>
      <c r="H6" s="47">
        <v>616.51</v>
      </c>
      <c r="I6" s="47">
        <v>366.55</v>
      </c>
      <c r="J6" s="47">
        <v>333.23</v>
      </c>
    </row>
    <row r="7" spans="1:10" x14ac:dyDescent="0.25">
      <c r="A7" s="48" t="s">
        <v>62</v>
      </c>
      <c r="B7" s="48" t="s">
        <v>63</v>
      </c>
      <c r="C7" s="46">
        <v>97.221999999999994</v>
      </c>
      <c r="D7" s="47">
        <f>SUM(ResourceAuditLab[[#This Row],[Base Amount]]:ResourceAuditLab[[#This Row],[Trade Profit]])</f>
        <v>12418.78</v>
      </c>
      <c r="E7" s="47">
        <v>5250</v>
      </c>
      <c r="F7" s="47">
        <v>4489.72</v>
      </c>
      <c r="G7" s="47">
        <v>605.30999999999995</v>
      </c>
      <c r="H7" s="47">
        <v>971.25</v>
      </c>
      <c r="I7" s="47">
        <v>577.5</v>
      </c>
      <c r="J7" s="47">
        <v>525</v>
      </c>
    </row>
    <row r="8" spans="1:10" x14ac:dyDescent="0.25">
      <c r="A8" s="48" t="s">
        <v>64</v>
      </c>
      <c r="B8" s="48" t="s">
        <v>65</v>
      </c>
      <c r="C8" s="46">
        <v>700.48199999999997</v>
      </c>
      <c r="D8" s="47">
        <f>SUM(ResourceAuditLab[[#This Row],[Base Amount]]:ResourceAuditLab[[#This Row],[Trade Profit]])</f>
        <v>100624.99999999999</v>
      </c>
      <c r="E8" s="47">
        <v>39227.019999999997</v>
      </c>
      <c r="F8" s="47">
        <v>41482.57</v>
      </c>
      <c r="G8" s="47">
        <v>2459.39</v>
      </c>
      <c r="H8" s="47">
        <v>7257</v>
      </c>
      <c r="I8" s="47">
        <v>6276.32</v>
      </c>
      <c r="J8" s="47">
        <v>3922.7</v>
      </c>
    </row>
    <row r="9" spans="1:10" x14ac:dyDescent="0.25">
      <c r="A9" s="48" t="s">
        <v>66</v>
      </c>
      <c r="B9" s="48" t="s">
        <v>67</v>
      </c>
      <c r="C9" s="46">
        <v>82.840999999999994</v>
      </c>
      <c r="D9" s="47">
        <f>SUM(ResourceAuditLab[[#This Row],[Base Amount]]:ResourceAuditLab[[#This Row],[Trade Profit]])</f>
        <v>10583.859999999999</v>
      </c>
      <c r="E9" s="47">
        <v>3740.27</v>
      </c>
      <c r="F9" s="47">
        <v>4607.62</v>
      </c>
      <c r="G9" s="47">
        <v>646.33000000000004</v>
      </c>
      <c r="H9" s="47">
        <v>691.97</v>
      </c>
      <c r="I9" s="47">
        <v>523.64</v>
      </c>
      <c r="J9" s="47">
        <v>374.03</v>
      </c>
    </row>
    <row r="10" spans="1:10" x14ac:dyDescent="0.25">
      <c r="A10" s="48" t="s">
        <v>68</v>
      </c>
      <c r="B10" s="48" t="s">
        <v>69</v>
      </c>
      <c r="C10" s="46">
        <v>145.863</v>
      </c>
      <c r="D10" s="47">
        <f>SUM(ResourceAuditLab[[#This Row],[Base Amount]]:ResourceAuditLab[[#This Row],[Trade Profit]])</f>
        <v>17720.18</v>
      </c>
      <c r="E10" s="47">
        <v>6512.79</v>
      </c>
      <c r="F10" s="47">
        <v>6807.43</v>
      </c>
      <c r="G10" s="47">
        <v>1632.06</v>
      </c>
      <c r="H10" s="47">
        <v>1204.83</v>
      </c>
      <c r="I10" s="47">
        <v>911.79</v>
      </c>
      <c r="J10" s="47">
        <v>651.28</v>
      </c>
    </row>
    <row r="11" spans="1:10" x14ac:dyDescent="0.25">
      <c r="A11" s="48" t="s">
        <v>70</v>
      </c>
      <c r="B11" s="48" t="s">
        <v>71</v>
      </c>
      <c r="C11" s="46">
        <v>588.48699999999997</v>
      </c>
      <c r="D11" s="47">
        <f>SUM(ResourceAuditLab[[#This Row],[Base Amount]]:ResourceAuditLab[[#This Row],[Trade Profit]])</f>
        <v>98150.75</v>
      </c>
      <c r="E11" s="47">
        <v>30277.64</v>
      </c>
      <c r="F11" s="47">
        <v>46149.120000000003</v>
      </c>
      <c r="G11" s="47">
        <v>8856.14</v>
      </c>
      <c r="H11" s="47">
        <v>5601.22</v>
      </c>
      <c r="I11" s="47">
        <v>4238.87</v>
      </c>
      <c r="J11" s="47">
        <v>3027.76</v>
      </c>
    </row>
    <row r="12" spans="1:10" x14ac:dyDescent="0.25">
      <c r="A12" s="48" t="s">
        <v>72</v>
      </c>
      <c r="B12" s="48" t="s">
        <v>73</v>
      </c>
      <c r="C12" s="46">
        <v>497.74599999999998</v>
      </c>
      <c r="D12" s="47">
        <f>SUM(ResourceAuditLab[[#This Row],[Base Amount]]:ResourceAuditLab[[#This Row],[Trade Profit]])</f>
        <v>46118.17</v>
      </c>
      <c r="E12" s="47">
        <v>20233.38</v>
      </c>
      <c r="F12" s="47">
        <v>14359.98</v>
      </c>
      <c r="G12" s="47">
        <v>3532.5</v>
      </c>
      <c r="H12" s="47">
        <v>3743.05</v>
      </c>
      <c r="I12" s="47">
        <v>2225.92</v>
      </c>
      <c r="J12" s="47">
        <v>2023.34</v>
      </c>
    </row>
    <row r="13" spans="1:10" x14ac:dyDescent="0.25">
      <c r="A13" s="48" t="s">
        <v>74</v>
      </c>
      <c r="B13" s="48" t="s">
        <v>75</v>
      </c>
      <c r="C13" s="46">
        <v>124.88800000000001</v>
      </c>
      <c r="D13" s="47">
        <f>SUM(ResourceAuditLab[[#This Row],[Base Amount]]:ResourceAuditLab[[#This Row],[Trade Profit]])</f>
        <v>15887.94</v>
      </c>
      <c r="E13" s="47">
        <v>6743.93</v>
      </c>
      <c r="F13" s="47">
        <v>5767.3</v>
      </c>
      <c r="G13" s="47">
        <v>712.86</v>
      </c>
      <c r="H13" s="47">
        <v>1247.6300000000001</v>
      </c>
      <c r="I13" s="47">
        <v>741.83</v>
      </c>
      <c r="J13" s="47">
        <v>674.39</v>
      </c>
    </row>
    <row r="14" spans="1:10" x14ac:dyDescent="0.25">
      <c r="A14" s="48" t="s">
        <v>76</v>
      </c>
      <c r="B14" s="48" t="s">
        <v>77</v>
      </c>
      <c r="C14" s="46">
        <v>152.66</v>
      </c>
      <c r="D14" s="47">
        <f>SUM(ResourceAuditLab[[#This Row],[Base Amount]]:ResourceAuditLab[[#This Row],[Trade Profit]])</f>
        <v>24936.17</v>
      </c>
      <c r="E14" s="47">
        <v>13157.72</v>
      </c>
      <c r="F14" s="47">
        <v>4503.46</v>
      </c>
      <c r="G14" s="47">
        <v>1682.92</v>
      </c>
      <c r="H14" s="47">
        <v>2434.16</v>
      </c>
      <c r="I14" s="47">
        <v>1842.14</v>
      </c>
      <c r="J14" s="47">
        <v>1315.77</v>
      </c>
    </row>
    <row r="15" spans="1:10" x14ac:dyDescent="0.25">
      <c r="A15" s="48" t="s">
        <v>78</v>
      </c>
      <c r="B15" s="48" t="s">
        <v>79</v>
      </c>
      <c r="C15" s="46">
        <v>541.09500000000003</v>
      </c>
      <c r="D15" s="47">
        <f>SUM(ResourceAuditLab[[#This Row],[Base Amount]]:ResourceAuditLab[[#This Row],[Trade Profit]])</f>
        <v>74900.009999999995</v>
      </c>
      <c r="E15" s="47">
        <v>31112.97</v>
      </c>
      <c r="F15" s="47">
        <v>27265.78</v>
      </c>
      <c r="G15" s="47">
        <v>2675.72</v>
      </c>
      <c r="H15" s="47">
        <v>5756.17</v>
      </c>
      <c r="I15" s="47">
        <v>4978.07</v>
      </c>
      <c r="J15" s="47">
        <v>3111.3</v>
      </c>
    </row>
    <row r="16" spans="1:10" x14ac:dyDescent="0.25">
      <c r="A16" s="48" t="s">
        <v>80</v>
      </c>
      <c r="B16" s="48" t="s">
        <v>81</v>
      </c>
      <c r="C16" s="46">
        <v>363.53800000000001</v>
      </c>
      <c r="D16" s="47">
        <f>SUM(ResourceAuditLab[[#This Row],[Base Amount]]:ResourceAuditLab[[#This Row],[Trade Profit]])</f>
        <v>53375.009999999995</v>
      </c>
      <c r="E16" s="47">
        <v>25756.66</v>
      </c>
      <c r="F16" s="47">
        <v>13941.68</v>
      </c>
      <c r="G16" s="47">
        <v>2215.04</v>
      </c>
      <c r="H16" s="47">
        <v>4764.8900000000003</v>
      </c>
      <c r="I16" s="47">
        <v>4121.07</v>
      </c>
      <c r="J16" s="47">
        <v>2575.67</v>
      </c>
    </row>
    <row r="17" spans="1:10" x14ac:dyDescent="0.25">
      <c r="A17" s="48" t="s">
        <v>82</v>
      </c>
      <c r="B17" s="48" t="s">
        <v>83</v>
      </c>
      <c r="C17" s="46">
        <v>19.73</v>
      </c>
      <c r="D17" s="47">
        <f>SUM(ResourceAuditLab[[#This Row],[Base Amount]]:ResourceAuditLab[[#This Row],[Trade Profit]])</f>
        <v>2003.8799999999999</v>
      </c>
      <c r="E17" s="47">
        <v>960.87</v>
      </c>
      <c r="F17" s="47">
        <v>545.94000000000005</v>
      </c>
      <c r="G17" s="47">
        <v>117.51</v>
      </c>
      <c r="H17" s="47">
        <v>177.77</v>
      </c>
      <c r="I17" s="47">
        <v>105.7</v>
      </c>
      <c r="J17" s="47">
        <v>96.09</v>
      </c>
    </row>
    <row r="18" spans="1:10" x14ac:dyDescent="0.25">
      <c r="A18" s="48" t="s">
        <v>84</v>
      </c>
      <c r="B18" s="48" t="s">
        <v>85</v>
      </c>
      <c r="C18" s="46">
        <v>66.710999999999999</v>
      </c>
      <c r="D18" s="47">
        <f>SUM(ResourceAuditLab[[#This Row],[Base Amount]]:ResourceAuditLab[[#This Row],[Trade Profit]])</f>
        <v>8735.01</v>
      </c>
      <c r="E18" s="47">
        <v>3602.4</v>
      </c>
      <c r="F18" s="47">
        <v>3080.72</v>
      </c>
      <c r="G18" s="47">
        <v>628.95000000000005</v>
      </c>
      <c r="H18" s="47">
        <v>666.44</v>
      </c>
      <c r="I18" s="47">
        <v>396.26</v>
      </c>
      <c r="J18" s="47">
        <v>360.24</v>
      </c>
    </row>
    <row r="19" spans="1:10" x14ac:dyDescent="0.25">
      <c r="A19" s="48" t="s">
        <v>86</v>
      </c>
      <c r="B19" s="48" t="s">
        <v>87</v>
      </c>
      <c r="C19" s="46">
        <v>206.79300000000001</v>
      </c>
      <c r="D19" s="47">
        <f>SUM(ResourceAuditLab[[#This Row],[Base Amount]]:ResourceAuditLab[[#This Row],[Trade Profit]])</f>
        <v>28525.000000000004</v>
      </c>
      <c r="E19" s="47">
        <v>11890.59</v>
      </c>
      <c r="F19" s="47">
        <v>10420.290000000001</v>
      </c>
      <c r="G19" s="47">
        <v>922.71</v>
      </c>
      <c r="H19" s="47">
        <v>2199.86</v>
      </c>
      <c r="I19" s="47">
        <v>1902.49</v>
      </c>
      <c r="J19" s="47">
        <v>1189.06</v>
      </c>
    </row>
    <row r="20" spans="1:10" x14ac:dyDescent="0.25">
      <c r="A20" s="48" t="s">
        <v>88</v>
      </c>
      <c r="B20" s="48" t="s">
        <v>89</v>
      </c>
      <c r="C20" s="46">
        <v>60.567</v>
      </c>
      <c r="D20" s="47">
        <f>SUM(ResourceAuditLab[[#This Row],[Base Amount]]:ResourceAuditLab[[#This Row],[Trade Profit]])</f>
        <v>7585.66</v>
      </c>
      <c r="E20" s="47">
        <v>3617.65</v>
      </c>
      <c r="F20" s="47">
        <v>2142.2399999999998</v>
      </c>
      <c r="G20" s="47">
        <v>396.83</v>
      </c>
      <c r="H20" s="47">
        <v>669.26</v>
      </c>
      <c r="I20" s="47">
        <v>397.92</v>
      </c>
      <c r="J20" s="47">
        <v>361.76</v>
      </c>
    </row>
    <row r="21" spans="1:10" x14ac:dyDescent="0.25">
      <c r="A21" s="48" t="s">
        <v>90</v>
      </c>
      <c r="B21" s="48" t="s">
        <v>91</v>
      </c>
      <c r="C21" s="46">
        <v>147.12200000000001</v>
      </c>
      <c r="D21" s="47">
        <f>SUM(ResourceAuditLab[[#This Row],[Base Amount]]:ResourceAuditLab[[#This Row],[Trade Profit]])</f>
        <v>16456.3</v>
      </c>
      <c r="E21" s="47">
        <v>6279.15</v>
      </c>
      <c r="F21" s="47">
        <v>6900.01</v>
      </c>
      <c r="G21" s="47">
        <v>796.81</v>
      </c>
      <c r="H21" s="47">
        <v>1161.67</v>
      </c>
      <c r="I21" s="47">
        <v>690.74</v>
      </c>
      <c r="J21" s="47">
        <v>627.91999999999996</v>
      </c>
    </row>
    <row r="22" spans="1:10" s="49" customFormat="1" ht="21" customHeight="1" x14ac:dyDescent="0.25">
      <c r="A22" s="50"/>
      <c r="B22" s="51" t="s">
        <v>92</v>
      </c>
      <c r="C22" s="52">
        <f>SUBTOTAL(9,ResourceAuditLab[Hours])</f>
        <v>5090.1349999999993</v>
      </c>
      <c r="D22" s="53">
        <f>SUBTOTAL(9,ResourceAuditLab[Total Amount])</f>
        <v>681581.38</v>
      </c>
      <c r="E22" s="53">
        <f>SUBTOTAL(9,ResourceAuditLab[Base Amount])</f>
        <v>277588.91000000003</v>
      </c>
      <c r="F22" s="53">
        <f>SUBTOTAL(9,ResourceAuditLab[Trade Fringes])</f>
        <v>246258.58</v>
      </c>
      <c r="G22" s="53">
        <f>SUBTOTAL(9,ResourceAuditLab[WC Insurance])</f>
        <v>40937.660000000003</v>
      </c>
      <c r="H22" s="53">
        <f>SUBTOTAL(9,ResourceAuditLab[Trade Fixed OH])</f>
        <v>51353.86</v>
      </c>
      <c r="I22" s="53">
        <f>SUBTOTAL(9,ResourceAuditLab[Trade Overhead])</f>
        <v>37683.469999999994</v>
      </c>
      <c r="J22" s="53">
        <f>SUBTOTAL(9,ResourceAuditLab[Trade Profit])</f>
        <v>27758.9</v>
      </c>
    </row>
  </sheetData>
  <printOptions horizontalCentered="1" gridLines="1"/>
  <pageMargins left="0.5" right="0.5" top="0.75" bottom="0.5" header="0.3" footer="0.3"/>
  <pageSetup scale="48" fitToHeight="0" orientation="portrait" horizontalDpi="0" verticalDpi="0" r:id="rId1"/>
  <headerFooter>
    <oddHeader>&amp;L&amp;B&amp;14&amp;A</oddHeader>
    <oddFooter>&amp;CPage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25</vt:i4>
      </vt:variant>
    </vt:vector>
  </HeadingPairs>
  <TitlesOfParts>
    <vt:vector size="30" baseType="lpstr">
      <vt:lpstr>Connectivity Audit</vt:lpstr>
      <vt:lpstr>Item Exception Audit</vt:lpstr>
      <vt:lpstr>Category Amount Reconciliation</vt:lpstr>
      <vt:lpstr>Addon Validation</vt:lpstr>
      <vt:lpstr>Resource Cost Audit - Labor</vt:lpstr>
      <vt:lpstr>CurrentEstimateBranch</vt:lpstr>
      <vt:lpstr>CurrentEstimateCatalogName</vt:lpstr>
      <vt:lpstr>CurrentEstimateId</vt:lpstr>
      <vt:lpstr>CurrentEstimateName</vt:lpstr>
      <vt:lpstr>CurrentEstimateUser</vt:lpstr>
      <vt:lpstr>CurrentSqlInstanceName</vt:lpstr>
      <vt:lpstr>'Addon Validation'!Print_Area</vt:lpstr>
      <vt:lpstr>'Category Amount Reconciliation'!Print_Area</vt:lpstr>
      <vt:lpstr>'Connectivity Audit'!Print_Area</vt:lpstr>
      <vt:lpstr>'Item Exception Audit'!Print_Area</vt:lpstr>
      <vt:lpstr>'Resource Cost Audit - Labor'!Print_Area</vt:lpstr>
      <vt:lpstr>'Addon Validation'!Print_Titles</vt:lpstr>
      <vt:lpstr>'Category Amount Reconciliation'!Print_Titles</vt:lpstr>
      <vt:lpstr>'Item Exception Audit'!Print_Titles</vt:lpstr>
      <vt:lpstr>'Resource Cost Audit - Labor'!Print_Titles</vt:lpstr>
      <vt:lpstr>TotEqpAmountCrewDiscrepancy</vt:lpstr>
      <vt:lpstr>TotEqpAmountWithoutCrew</vt:lpstr>
      <vt:lpstr>TotEqpManHoursCrewsWithoutResources</vt:lpstr>
      <vt:lpstr>TotEqpManHoursWithoutCrew</vt:lpstr>
      <vt:lpstr>TotLabAmountCrewDiscrepancy</vt:lpstr>
      <vt:lpstr>TotLabAmountWithoutCrew</vt:lpstr>
      <vt:lpstr>TotLabManHoursCrewsWithoutResources</vt:lpstr>
      <vt:lpstr>TotLabManHoursWithoutCrew</vt:lpstr>
      <vt:lpstr>'Resource Cost Audit - Labor'!TotResourceAmount</vt:lpstr>
      <vt:lpstr>'Resource Cost Audit - Labor'!TotResourceHours</vt:lpstr>
    </vt:vector>
  </TitlesOfParts>
  <Company>Nvisions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Crew Resource Cost Audit</dc:title>
  <dc:subject>Export Template for Sage Estimating</dc:subject>
  <dc:creator>Joe Callahan</dc:creator>
  <cp:lastModifiedBy>Microsoft</cp:lastModifiedBy>
  <cp:lastPrinted>2021-05-18T20:10:20Z</cp:lastPrinted>
  <dcterms:created xsi:type="dcterms:W3CDTF">2021-02-27T23:10:04Z</dcterms:created>
  <dcterms:modified xsi:type="dcterms:W3CDTF">2021-07-06T20:17:40Z</dcterms:modified>
</cp:coreProperties>
</file>